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37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<sst xmlns="http://schemas.openxmlformats.org/spreadsheetml/2006/main" count="118" uniqueCount="102">
  <si>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</si>
  <si>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</si>
  <si>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</si>
  <si>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</si>
  <si>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</si>
  <si>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</si>
  <si>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</si>
  <si>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</si>
  <si>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</si>
  <si>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</si>
  <si>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</si>
  <si>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</si>
  <si>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</si>
  <si>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</si>
  <si>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</si>
  <si>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</si>
  <si>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</si>
  <si>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</si>
  <si>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</si>
  <si>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</si>
  <si>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</si>
  <si>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</si>
  <si>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</si>
  <si>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</si>
  <si>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</si>
  <si>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</si>
  <si>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</si>
  <si>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</si>
  <si>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</si>
  <si>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</si>
  <si>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</si>
  <si>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</si>
  <si>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</si>
  <si>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</si>
  <si>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</si>
  <si>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</si>
  <si>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</si>
  <si>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</si>
  <si>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</si>
  <si>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</si>
  <si>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</si>
  <si>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</si>
  <si>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</si>
  <si>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</si>
  <si>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</si>
  <si>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</si>
  <si>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</si>
  <si>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</si>
  <si>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</si>
  <si>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</si>
  <si>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</si>
  <si>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</si>
  <si>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</si>
  <si>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</si>
  <si>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</si>
  <si>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 xml:space="preserve">Капітальний ремонт (встановлення лічильників теплової енергії) в житлових будинках 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</si>
  <si>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</si>
  <si>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</si>
  <si>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</si>
  <si>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Геолого – вишукувальні роботи основи під фундаментом  великопанельного 9-ти поверхового житлового будинку по вул. Смілянська,128 (по причинах деформації)</t>
  </si>
  <si>
    <t>Геодезично – вишукувальні роботи  великопанельного 9-ти поверхового житлового будинку по вул. Смілянська,128 (по причинах деформації)</t>
  </si>
  <si>
    <t>Капітальний ремонт будинку по вул. Небесної Сотні, 45 (утеплення фасаду)</t>
  </si>
  <si>
    <t>Капітальний ремонт житлових будинків по вул.Волкова 75, 95, 101 та вул Різдвяна 4, 21 (внутрішньобудинкові  мережі електропостачання)</t>
  </si>
  <si>
    <t>Технічне обстеження несучих та огороджуючих конструкцій  по вул. Смілянська,128 (по причинах деформації)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</si>
  <si>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</si>
  <si>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</si>
  <si>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</si>
  <si>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</si>
  <si>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</si>
  <si>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</si>
  <si>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</si>
  <si>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</si>
  <si>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</si>
  <si>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</si>
  <si>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</si>
  <si>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</si>
  <si>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</si>
  <si>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</si>
  <si>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</si>
  <si>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</si>
  <si>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</si>
  <si>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</si>
  <si>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</si>
  <si>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</si>
  <si>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</si>
  <si>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</si>
  <si>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</si>
  <si>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</si>
  <si>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</si>
  <si>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Капітальний ремонт залізобетонних плит балконів квартир 4,10, 24, 30, 44, 50, ж/б№27 по бул. Шевченка</t>
  </si>
  <si>
    <t xml:space="preserve">Капітальний ремонт фасаду житлового будинку №132 по бул. Шевченка (утеплення фасаду зі сторони  бул. Шевченка з 1 по 4 під'їзд) 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</si>
  <si>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</si>
  <si>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</si>
  <si>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</si>
  <si>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</si>
  <si>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</si>
  <si>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</si>
  <si>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</si>
  <si>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</si>
  <si>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</si>
  <si>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прибудинкових територій житлових  будинків, в т.ч. </t>
  </si>
  <si>
    <t>Профінансовано на 01.04.2016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</si>
</sst>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92" fontId="17" fillId="0" borderId="10" xfId="0" applyNumberFormat="1" applyFont="1" applyFill="1" applyBorder="1" applyAlignment="1">
      <alignment horizontal="center" vertical="center" wrapText="1"/>
    </xf>
    <xf numFmtId="192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0" fontId="17" fillId="24" borderId="10" xfId="0" applyNumberFormat="1" applyFont="1" applyFill="1" applyBorder="1" applyAlignment="1">
      <alignment horizontal="center" vertical="center" wrapText="1"/>
    </xf>
    <xf numFmtId="192" fontId="2" fillId="24" borderId="10" xfId="0" applyNumberFormat="1" applyFont="1" applyFill="1" applyBorder="1" applyAlignment="1">
      <alignment horizontal="center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193" fontId="15" fillId="0" borderId="10" xfId="0" applyNumberFormat="1" applyFont="1" applyBorder="1" applyAlignment="1">
      <alignment horizontal="center" vertical="center"/>
    </xf>
    <xf numFmtId="192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192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192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192" fontId="18" fillId="25" borderId="10" xfId="0" applyNumberFormat="1" applyFont="1" applyFill="1" applyBorder="1" applyAlignment="1">
      <alignment horizontal="center" vertical="center" wrapText="1"/>
    </xf>
    <xf numFmtId="192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190" fontId="15" fillId="25" borderId="10" xfId="0" applyNumberFormat="1" applyFont="1" applyFill="1" applyBorder="1" applyAlignment="1">
      <alignment horizontal="center"/>
    </xf>
    <xf numFmtId="190" fontId="2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88" fontId="2" fillId="24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vertical="top" wrapText="1"/>
    </xf>
    <xf numFmtId="190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8" fontId="21" fillId="0" borderId="10" xfId="0" applyNumberFormat="1" applyFont="1" applyBorder="1" applyAlignment="1">
      <alignment horizontal="center"/>
    </xf>
    <xf numFmtId="188" fontId="21" fillId="0" borderId="10" xfId="0" applyNumberFormat="1" applyFont="1" applyBorder="1" applyAlignment="1">
      <alignment horizontal="center" vertical="center"/>
    </xf>
    <xf numFmtId="190" fontId="15" fillId="25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90" fontId="17" fillId="0" borderId="10" xfId="0" applyNumberFormat="1" applyFont="1" applyBorder="1" applyAlignment="1">
      <alignment horizontal="left"/>
    </xf>
    <xf numFmtId="188" fontId="2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5" xfId="0" applyFont="1" applyBorder="1" applyAlignment="1">
      <alignment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zoomScale="60" zoomScaleNormal="60" zoomScalePageLayoutView="0" workbookViewId="0" topLeftCell="A1">
      <selection activeCell="V7" sqref="V7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102" t="s">
        <v>99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6:19" ht="28.5" customHeight="1">
      <c r="P2" s="90"/>
      <c r="R2" s="90"/>
      <c r="S2" s="72" t="s">
        <v>51</v>
      </c>
    </row>
    <row r="3" spans="1:19" ht="20.25" customHeight="1">
      <c r="A3" s="97" t="s">
        <v>16</v>
      </c>
      <c r="B3" s="97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97" t="s">
        <v>23</v>
      </c>
      <c r="I3" s="97" t="s">
        <v>24</v>
      </c>
      <c r="J3" s="97" t="s">
        <v>25</v>
      </c>
      <c r="K3" s="97" t="s">
        <v>26</v>
      </c>
      <c r="L3" s="97"/>
      <c r="M3" s="97"/>
      <c r="N3" s="108" t="s">
        <v>11</v>
      </c>
      <c r="O3" s="109" t="s">
        <v>12</v>
      </c>
      <c r="P3" s="110" t="s">
        <v>10</v>
      </c>
      <c r="Q3" s="110"/>
      <c r="R3" s="100" t="s">
        <v>101</v>
      </c>
      <c r="S3" s="98" t="s">
        <v>86</v>
      </c>
    </row>
    <row r="4" spans="1:19" ht="19.5">
      <c r="A4" s="97"/>
      <c r="B4" s="97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97"/>
      <c r="I4" s="97"/>
      <c r="J4" s="97"/>
      <c r="K4" s="97"/>
      <c r="L4" s="97"/>
      <c r="M4" s="97"/>
      <c r="N4" s="108"/>
      <c r="O4" s="108"/>
      <c r="P4" s="111" t="s">
        <v>15</v>
      </c>
      <c r="Q4" s="111"/>
      <c r="R4" s="101"/>
      <c r="S4" s="99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7">
        <v>6</v>
      </c>
      <c r="Q5" s="80"/>
      <c r="R5" s="56"/>
      <c r="S5" s="56"/>
    </row>
    <row r="6" spans="1:19" ht="35.25" customHeight="1">
      <c r="A6" s="104" t="s">
        <v>27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O6" s="106"/>
      <c r="P6" s="106"/>
      <c r="Q6" s="106"/>
      <c r="R6" s="106"/>
      <c r="S6" s="107"/>
    </row>
    <row r="7" spans="1:19" ht="54.75" customHeight="1">
      <c r="A7" s="75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60">
        <f aca="true" t="shared" si="0" ref="M7:M18">N7+O7</f>
        <v>17497275</v>
      </c>
      <c r="N7" s="47"/>
      <c r="O7" s="64">
        <f>O8+O9+O10+O11+O12+O13+O14+O15+O18+O16+O17</f>
        <v>17497275</v>
      </c>
      <c r="P7" s="64">
        <f>P8+P9+P10+P11+P12+P13+P14+P15+P18+P16+P17</f>
        <v>17497275</v>
      </c>
      <c r="R7" s="83">
        <f>R8+R9+R10+R11+R12+R13+R14+R15+R18</f>
        <v>0</v>
      </c>
      <c r="S7" s="85">
        <f>R7/M7*100</f>
        <v>0</v>
      </c>
    </row>
    <row r="8" spans="1:19" ht="24.75" customHeight="1">
      <c r="A8" s="38" t="s">
        <v>81</v>
      </c>
      <c r="B8" s="65" t="s">
        <v>55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8">
        <f t="shared" si="0"/>
        <v>6266000</v>
      </c>
      <c r="N8" s="48"/>
      <c r="O8" s="67">
        <v>6266000</v>
      </c>
      <c r="P8" s="67">
        <v>6266000</v>
      </c>
      <c r="R8" s="82">
        <v>0</v>
      </c>
      <c r="S8" s="86">
        <f>R8/M8*100</f>
        <v>0</v>
      </c>
    </row>
    <row r="9" spans="1:19" ht="73.5" customHeight="1">
      <c r="A9" s="38" t="s">
        <v>48</v>
      </c>
      <c r="B9" s="65" t="s">
        <v>56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8">
        <f t="shared" si="0"/>
        <v>9634000</v>
      </c>
      <c r="N9" s="48"/>
      <c r="O9" s="67">
        <v>9634000</v>
      </c>
      <c r="P9" s="67">
        <f>O9</f>
        <v>9634000</v>
      </c>
      <c r="R9" s="93">
        <v>0</v>
      </c>
      <c r="S9" s="94">
        <f aca="true" t="shared" si="1" ref="S9:S61">R9/M9*100</f>
        <v>0</v>
      </c>
    </row>
    <row r="10" spans="1:19" ht="29.25" customHeight="1">
      <c r="A10" s="38" t="s">
        <v>77</v>
      </c>
      <c r="B10" s="65" t="s">
        <v>57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8">
        <f t="shared" si="0"/>
        <v>150000</v>
      </c>
      <c r="N10" s="48"/>
      <c r="O10" s="67">
        <v>150000</v>
      </c>
      <c r="P10" s="67">
        <v>150000</v>
      </c>
      <c r="R10" s="82">
        <v>0</v>
      </c>
      <c r="S10" s="86">
        <f t="shared" si="1"/>
        <v>0</v>
      </c>
    </row>
    <row r="11" spans="1:19" ht="26.25" customHeight="1">
      <c r="A11" s="38" t="s">
        <v>78</v>
      </c>
      <c r="B11" s="65" t="s">
        <v>58</v>
      </c>
      <c r="C11" s="18"/>
      <c r="D11" s="18"/>
      <c r="E11" s="18"/>
      <c r="F11" s="18"/>
      <c r="G11" s="19"/>
      <c r="H11" s="19"/>
      <c r="I11" s="19"/>
      <c r="J11" s="19"/>
      <c r="K11" s="19"/>
      <c r="L11" s="19"/>
      <c r="M11" s="79">
        <f t="shared" si="0"/>
        <v>200000</v>
      </c>
      <c r="N11" s="48"/>
      <c r="O11" s="67">
        <v>200000</v>
      </c>
      <c r="P11" s="67">
        <v>200000</v>
      </c>
      <c r="R11" s="82">
        <v>0</v>
      </c>
      <c r="S11" s="86">
        <f t="shared" si="1"/>
        <v>0</v>
      </c>
    </row>
    <row r="12" spans="1:19" ht="36.75" customHeight="1">
      <c r="A12" s="38" t="s">
        <v>79</v>
      </c>
      <c r="B12" s="66" t="s">
        <v>59</v>
      </c>
      <c r="C12" s="18"/>
      <c r="D12" s="18"/>
      <c r="E12" s="18"/>
      <c r="F12" s="18"/>
      <c r="G12" s="19"/>
      <c r="H12" s="19"/>
      <c r="I12" s="19"/>
      <c r="J12" s="19"/>
      <c r="K12" s="19"/>
      <c r="L12" s="19"/>
      <c r="M12" s="79">
        <f t="shared" si="0"/>
        <v>12000</v>
      </c>
      <c r="N12" s="48"/>
      <c r="O12" s="67">
        <v>12000</v>
      </c>
      <c r="P12" s="67">
        <v>12000</v>
      </c>
      <c r="R12" s="82">
        <v>0</v>
      </c>
      <c r="S12" s="86">
        <f t="shared" si="1"/>
        <v>0</v>
      </c>
    </row>
    <row r="13" spans="1:19" ht="34.5" customHeight="1">
      <c r="A13" s="38" t="s">
        <v>80</v>
      </c>
      <c r="B13" s="66" t="s">
        <v>60</v>
      </c>
      <c r="C13" s="18"/>
      <c r="D13" s="18"/>
      <c r="E13" s="18"/>
      <c r="F13" s="18"/>
      <c r="G13" s="19"/>
      <c r="H13" s="19"/>
      <c r="I13" s="19"/>
      <c r="J13" s="19"/>
      <c r="K13" s="19"/>
      <c r="L13" s="19"/>
      <c r="M13" s="79">
        <f t="shared" si="0"/>
        <v>12000</v>
      </c>
      <c r="N13" s="48"/>
      <c r="O13" s="67">
        <v>12000</v>
      </c>
      <c r="P13" s="67">
        <v>12000</v>
      </c>
      <c r="R13" s="82">
        <v>0</v>
      </c>
      <c r="S13" s="86">
        <f t="shared" si="1"/>
        <v>0</v>
      </c>
    </row>
    <row r="14" spans="1:19" ht="33.75" customHeight="1">
      <c r="A14" s="38" t="s">
        <v>82</v>
      </c>
      <c r="B14" s="66" t="s">
        <v>61</v>
      </c>
      <c r="C14" s="18"/>
      <c r="D14" s="18"/>
      <c r="E14" s="18"/>
      <c r="F14" s="18"/>
      <c r="G14" s="19"/>
      <c r="H14" s="19"/>
      <c r="I14" s="19"/>
      <c r="J14" s="19"/>
      <c r="K14" s="19"/>
      <c r="L14" s="19"/>
      <c r="M14" s="79">
        <f t="shared" si="0"/>
        <v>200000</v>
      </c>
      <c r="N14" s="48"/>
      <c r="O14" s="67">
        <f>145000+55000</f>
        <v>200000</v>
      </c>
      <c r="P14" s="67">
        <f>145000+55000</f>
        <v>200000</v>
      </c>
      <c r="R14" s="82">
        <v>0</v>
      </c>
      <c r="S14" s="86">
        <f t="shared" si="1"/>
        <v>0</v>
      </c>
    </row>
    <row r="15" spans="1:19" ht="34.5" customHeight="1">
      <c r="A15" s="38" t="s">
        <v>83</v>
      </c>
      <c r="B15" s="66" t="s">
        <v>62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9">
        <f t="shared" si="0"/>
        <v>525000</v>
      </c>
      <c r="N15" s="48"/>
      <c r="O15" s="67">
        <v>525000</v>
      </c>
      <c r="P15" s="67">
        <v>525000</v>
      </c>
      <c r="R15" s="82">
        <v>0</v>
      </c>
      <c r="S15" s="86">
        <f t="shared" si="1"/>
        <v>0</v>
      </c>
    </row>
    <row r="16" spans="1:19" ht="34.5" customHeight="1">
      <c r="A16" s="38" t="s">
        <v>84</v>
      </c>
      <c r="B16" s="66" t="s">
        <v>63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9">
        <f t="shared" si="0"/>
        <v>48000</v>
      </c>
      <c r="N16" s="48"/>
      <c r="O16" s="67">
        <v>48000</v>
      </c>
      <c r="P16" s="67">
        <f>O16</f>
        <v>48000</v>
      </c>
      <c r="R16" s="82">
        <v>0</v>
      </c>
      <c r="S16" s="86">
        <f t="shared" si="1"/>
        <v>0</v>
      </c>
    </row>
    <row r="17" spans="1:19" ht="34.5" customHeight="1">
      <c r="A17" s="38" t="s">
        <v>87</v>
      </c>
      <c r="B17" s="66" t="s">
        <v>89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9">
        <f t="shared" si="0"/>
        <v>60000</v>
      </c>
      <c r="N17" s="48"/>
      <c r="O17" s="67">
        <v>60000</v>
      </c>
      <c r="P17" s="67">
        <f>O17</f>
        <v>60000</v>
      </c>
      <c r="R17" s="82">
        <v>0</v>
      </c>
      <c r="S17" s="86">
        <f t="shared" si="1"/>
        <v>0</v>
      </c>
    </row>
    <row r="18" spans="1:19" ht="39" customHeight="1">
      <c r="A18" s="38" t="s">
        <v>88</v>
      </c>
      <c r="B18" s="88" t="s">
        <v>90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9">
        <f t="shared" si="0"/>
        <v>390275</v>
      </c>
      <c r="N18" s="48"/>
      <c r="O18" s="67">
        <v>390275</v>
      </c>
      <c r="P18" s="67">
        <f>O18</f>
        <v>390275</v>
      </c>
      <c r="R18" s="82">
        <v>0</v>
      </c>
      <c r="S18" s="86">
        <f t="shared" si="1"/>
        <v>0</v>
      </c>
    </row>
    <row r="19" spans="1:19" ht="21" customHeight="1">
      <c r="A19" s="12">
        <v>2</v>
      </c>
      <c r="B19" s="62" t="s">
        <v>64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60">
        <f>M20</f>
        <v>10000000</v>
      </c>
      <c r="N19" s="47"/>
      <c r="O19" s="70">
        <f>M19</f>
        <v>10000000</v>
      </c>
      <c r="P19" s="70">
        <f>O19</f>
        <v>10000000</v>
      </c>
      <c r="R19" s="84">
        <f>R20</f>
        <v>0</v>
      </c>
      <c r="S19" s="85">
        <f t="shared" si="1"/>
        <v>0</v>
      </c>
    </row>
    <row r="20" spans="1:19" ht="66" customHeight="1">
      <c r="A20" s="55" t="s">
        <v>49</v>
      </c>
      <c r="B20" s="66" t="s">
        <v>65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9">
        <v>10000000</v>
      </c>
      <c r="N20" s="48"/>
      <c r="O20" s="67">
        <f>M20</f>
        <v>10000000</v>
      </c>
      <c r="P20" s="67">
        <f>O20</f>
        <v>10000000</v>
      </c>
      <c r="Q20" s="67">
        <f>P20</f>
        <v>10000000</v>
      </c>
      <c r="R20" s="67">
        <v>0</v>
      </c>
      <c r="S20" s="86">
        <f t="shared" si="1"/>
        <v>0</v>
      </c>
    </row>
    <row r="21" spans="1:19" ht="19.5">
      <c r="A21" s="8">
        <v>3</v>
      </c>
      <c r="B21" s="9" t="s">
        <v>13</v>
      </c>
      <c r="C21" s="10"/>
      <c r="D21" s="10"/>
      <c r="E21" s="11"/>
      <c r="F21" s="10"/>
      <c r="G21" s="10"/>
      <c r="H21" s="12"/>
      <c r="I21" s="12"/>
      <c r="J21" s="12"/>
      <c r="K21" s="12"/>
      <c r="L21" s="12"/>
      <c r="M21" s="60">
        <f aca="true" t="shared" si="2" ref="M21:M56">N21+O21</f>
        <v>28400</v>
      </c>
      <c r="N21" s="47">
        <f>N22</f>
        <v>28400</v>
      </c>
      <c r="O21" s="47">
        <f>O22</f>
        <v>0</v>
      </c>
      <c r="P21" s="47">
        <f>P22</f>
        <v>0</v>
      </c>
      <c r="R21" s="47">
        <f>R22</f>
        <v>0</v>
      </c>
      <c r="S21" s="85">
        <f t="shared" si="1"/>
        <v>0</v>
      </c>
    </row>
    <row r="22" spans="1:19" ht="19.5">
      <c r="A22" s="55" t="s">
        <v>54</v>
      </c>
      <c r="B22" s="13" t="s">
        <v>28</v>
      </c>
      <c r="C22" s="14"/>
      <c r="D22" s="14"/>
      <c r="E22" s="15"/>
      <c r="F22" s="14"/>
      <c r="G22" s="14"/>
      <c r="H22" s="16"/>
      <c r="I22" s="16"/>
      <c r="J22" s="16"/>
      <c r="K22" s="16"/>
      <c r="L22" s="16"/>
      <c r="M22" s="59">
        <f t="shared" si="2"/>
        <v>28400</v>
      </c>
      <c r="N22" s="48">
        <v>28400</v>
      </c>
      <c r="O22" s="48">
        <v>0</v>
      </c>
      <c r="P22" s="48">
        <v>0</v>
      </c>
      <c r="R22" s="48">
        <v>0</v>
      </c>
      <c r="S22" s="86">
        <f t="shared" si="1"/>
        <v>0</v>
      </c>
    </row>
    <row r="23" spans="1:19" ht="19.5">
      <c r="A23" s="8">
        <v>4</v>
      </c>
      <c r="B23" s="9" t="s">
        <v>14</v>
      </c>
      <c r="C23" s="10"/>
      <c r="D23" s="10"/>
      <c r="E23" s="11"/>
      <c r="F23" s="10"/>
      <c r="G23" s="10"/>
      <c r="H23" s="12"/>
      <c r="I23" s="12"/>
      <c r="J23" s="12"/>
      <c r="K23" s="12"/>
      <c r="L23" s="12"/>
      <c r="M23" s="60">
        <f t="shared" si="2"/>
        <v>79497807.68</v>
      </c>
      <c r="N23" s="47">
        <f>N24+N28+N34+N38+N42+N47+N53+N44+N50+N54+N45+N55+N46+N56+N57</f>
        <v>79497807.68</v>
      </c>
      <c r="O23" s="74">
        <f>O57</f>
        <v>0</v>
      </c>
      <c r="P23" s="74">
        <f>P57</f>
        <v>0</v>
      </c>
      <c r="R23" s="47">
        <f>R24+R28+R34+R38+R42+R47+R53+R44+R50+R54+R45+R55+R57</f>
        <v>24978581.659999996</v>
      </c>
      <c r="S23" s="85">
        <f t="shared" si="1"/>
        <v>31.420466034164722</v>
      </c>
    </row>
    <row r="24" spans="1:19" ht="18.75">
      <c r="A24" s="38" t="s">
        <v>53</v>
      </c>
      <c r="B24" s="17" t="s">
        <v>0</v>
      </c>
      <c r="C24" s="18">
        <v>4945</v>
      </c>
      <c r="D24" s="18" t="e">
        <f>4797.2+#REF!</f>
        <v>#REF!</v>
      </c>
      <c r="E24" s="18">
        <v>516.2</v>
      </c>
      <c r="F24" s="18">
        <v>4326</v>
      </c>
      <c r="G24" s="19">
        <f>7616.03-3700.736</f>
        <v>3915.294</v>
      </c>
      <c r="H24" s="19">
        <v>3323</v>
      </c>
      <c r="I24" s="19">
        <v>4326</v>
      </c>
      <c r="J24" s="19" t="s">
        <v>29</v>
      </c>
      <c r="K24" s="19" t="s">
        <v>29</v>
      </c>
      <c r="L24" s="19" t="s">
        <v>29</v>
      </c>
      <c r="M24" s="59">
        <f t="shared" si="2"/>
        <v>7956400</v>
      </c>
      <c r="N24" s="48">
        <f>N25+N26+N27</f>
        <v>7956400</v>
      </c>
      <c r="O24" s="56"/>
      <c r="P24" s="56"/>
      <c r="R24" s="48">
        <f>R25+R26+R27</f>
        <v>1778177.54</v>
      </c>
      <c r="S24" s="86">
        <f t="shared" si="1"/>
        <v>22.34902141672113</v>
      </c>
    </row>
    <row r="25" spans="1:19" ht="18.75">
      <c r="A25" s="51"/>
      <c r="B25" s="20" t="s">
        <v>30</v>
      </c>
      <c r="C25" s="21"/>
      <c r="D25" s="21"/>
      <c r="E25" s="21"/>
      <c r="F25" s="21"/>
      <c r="G25" s="22"/>
      <c r="H25" s="22"/>
      <c r="I25" s="22"/>
      <c r="J25" s="22"/>
      <c r="K25" s="22"/>
      <c r="L25" s="22"/>
      <c r="M25" s="71">
        <f t="shared" si="2"/>
        <v>3915300</v>
      </c>
      <c r="N25" s="49">
        <v>3915300</v>
      </c>
      <c r="O25" s="56"/>
      <c r="P25" s="56"/>
      <c r="R25" s="49">
        <f>377576+371325</f>
        <v>748901</v>
      </c>
      <c r="S25" s="91">
        <f t="shared" si="1"/>
        <v>19.127550890097822</v>
      </c>
    </row>
    <row r="26" spans="1:19" ht="18.75">
      <c r="A26" s="51"/>
      <c r="B26" s="20" t="s">
        <v>31</v>
      </c>
      <c r="C26" s="21"/>
      <c r="D26" s="21"/>
      <c r="E26" s="21"/>
      <c r="F26" s="21"/>
      <c r="G26" s="22"/>
      <c r="H26" s="22"/>
      <c r="I26" s="22"/>
      <c r="J26" s="22"/>
      <c r="K26" s="22"/>
      <c r="L26" s="22"/>
      <c r="M26" s="71">
        <f t="shared" si="2"/>
        <v>3700700</v>
      </c>
      <c r="N26" s="49">
        <v>3700700</v>
      </c>
      <c r="O26" s="56"/>
      <c r="P26" s="56"/>
      <c r="R26" s="49">
        <f>368514.26+320005.16+308997.12</f>
        <v>997516.5399999999</v>
      </c>
      <c r="S26" s="91">
        <f t="shared" si="1"/>
        <v>26.954806928418947</v>
      </c>
    </row>
    <row r="27" spans="1:19" ht="37.5">
      <c r="A27" s="51"/>
      <c r="B27" s="5" t="s">
        <v>32</v>
      </c>
      <c r="C27" s="21"/>
      <c r="D27" s="21"/>
      <c r="E27" s="21"/>
      <c r="F27" s="21"/>
      <c r="G27" s="22"/>
      <c r="H27" s="22"/>
      <c r="I27" s="22"/>
      <c r="J27" s="22"/>
      <c r="K27" s="22"/>
      <c r="L27" s="22"/>
      <c r="M27" s="71">
        <f t="shared" si="2"/>
        <v>340400</v>
      </c>
      <c r="N27" s="49">
        <v>340400</v>
      </c>
      <c r="O27" s="56"/>
      <c r="P27" s="56"/>
      <c r="R27" s="49">
        <v>31760</v>
      </c>
      <c r="S27" s="92">
        <f t="shared" si="1"/>
        <v>9.330199764982373</v>
      </c>
    </row>
    <row r="28" spans="1:19" ht="18.75">
      <c r="A28" s="38" t="s">
        <v>66</v>
      </c>
      <c r="B28" s="23" t="s">
        <v>1</v>
      </c>
      <c r="C28" s="18">
        <v>5449.4</v>
      </c>
      <c r="D28" s="18">
        <f>C28</f>
        <v>5449.4</v>
      </c>
      <c r="E28" s="18">
        <v>1012.4</v>
      </c>
      <c r="F28" s="18">
        <v>4437</v>
      </c>
      <c r="G28" s="19">
        <v>8582.5</v>
      </c>
      <c r="H28" s="19">
        <v>1513.5</v>
      </c>
      <c r="I28" s="19">
        <v>4437</v>
      </c>
      <c r="J28" s="19"/>
      <c r="K28" s="19"/>
      <c r="L28" s="19"/>
      <c r="M28" s="59">
        <f t="shared" si="2"/>
        <v>5469440</v>
      </c>
      <c r="N28" s="48">
        <f>N29+N30+N31+N32+N33</f>
        <v>5469440</v>
      </c>
      <c r="O28" s="56"/>
      <c r="P28" s="56"/>
      <c r="R28" s="48">
        <f>R29+R30+R31+R32+R33</f>
        <v>1199431.26</v>
      </c>
      <c r="S28" s="86">
        <f t="shared" si="1"/>
        <v>21.929690425345193</v>
      </c>
    </row>
    <row r="29" spans="1:19" ht="18.75">
      <c r="A29" s="51"/>
      <c r="B29" s="25" t="s">
        <v>33</v>
      </c>
      <c r="C29" s="21"/>
      <c r="D29" s="21"/>
      <c r="E29" s="21"/>
      <c r="F29" s="21"/>
      <c r="G29" s="22"/>
      <c r="H29" s="22"/>
      <c r="I29" s="22"/>
      <c r="J29" s="22"/>
      <c r="K29" s="22"/>
      <c r="L29" s="24"/>
      <c r="M29" s="71">
        <f t="shared" si="2"/>
        <v>1799360</v>
      </c>
      <c r="N29" s="50">
        <v>1799360</v>
      </c>
      <c r="O29" s="56"/>
      <c r="P29" s="56"/>
      <c r="R29" s="50">
        <v>0</v>
      </c>
      <c r="S29" s="91">
        <f t="shared" si="1"/>
        <v>0</v>
      </c>
    </row>
    <row r="30" spans="1:19" ht="18.75">
      <c r="A30" s="51"/>
      <c r="B30" s="25" t="s">
        <v>34</v>
      </c>
      <c r="C30" s="21"/>
      <c r="D30" s="21"/>
      <c r="E30" s="21"/>
      <c r="F30" s="21"/>
      <c r="G30" s="22"/>
      <c r="H30" s="22"/>
      <c r="I30" s="22"/>
      <c r="J30" s="22"/>
      <c r="K30" s="22"/>
      <c r="L30" s="24"/>
      <c r="M30" s="71">
        <f t="shared" si="2"/>
        <v>143000</v>
      </c>
      <c r="N30" s="50">
        <f>45000+98000</f>
        <v>143000</v>
      </c>
      <c r="O30" s="56"/>
      <c r="P30" s="56"/>
      <c r="R30" s="50">
        <v>30000</v>
      </c>
      <c r="S30" s="91">
        <f t="shared" si="1"/>
        <v>20.97902097902098</v>
      </c>
    </row>
    <row r="31" spans="1:19" ht="37.5">
      <c r="A31" s="51"/>
      <c r="B31" s="20" t="s">
        <v>35</v>
      </c>
      <c r="C31" s="21"/>
      <c r="D31" s="21"/>
      <c r="E31" s="21"/>
      <c r="F31" s="21"/>
      <c r="G31" s="22"/>
      <c r="H31" s="22"/>
      <c r="I31" s="22"/>
      <c r="J31" s="22"/>
      <c r="K31" s="22"/>
      <c r="L31" s="24"/>
      <c r="M31" s="71">
        <f t="shared" si="2"/>
        <v>3030080</v>
      </c>
      <c r="N31" s="50">
        <f>1231480+1589000+180000+29600</f>
        <v>3030080</v>
      </c>
      <c r="O31" s="56"/>
      <c r="P31" s="56"/>
      <c r="R31" s="50">
        <f>95028.5+188463.6+68400+157936.81+158389.75+145896+29600+29783+198012+97921.6</f>
        <v>1169431.26</v>
      </c>
      <c r="S31" s="92">
        <f t="shared" si="1"/>
        <v>38.594072103706836</v>
      </c>
    </row>
    <row r="32" spans="1:19" ht="18.75">
      <c r="A32" s="51"/>
      <c r="B32" s="20" t="s">
        <v>36</v>
      </c>
      <c r="C32" s="21"/>
      <c r="D32" s="21"/>
      <c r="E32" s="21"/>
      <c r="F32" s="21"/>
      <c r="G32" s="22"/>
      <c r="H32" s="22"/>
      <c r="I32" s="22"/>
      <c r="J32" s="22"/>
      <c r="K32" s="22"/>
      <c r="L32" s="24"/>
      <c r="M32" s="71">
        <f t="shared" si="2"/>
        <v>427000</v>
      </c>
      <c r="N32" s="50">
        <f>252000+175000</f>
        <v>427000</v>
      </c>
      <c r="O32" s="56"/>
      <c r="P32" s="56"/>
      <c r="R32" s="50">
        <v>0</v>
      </c>
      <c r="S32" s="91">
        <f t="shared" si="1"/>
        <v>0</v>
      </c>
    </row>
    <row r="33" spans="1:19" ht="18.75">
      <c r="A33" s="51"/>
      <c r="B33" s="20" t="s">
        <v>37</v>
      </c>
      <c r="C33" s="21"/>
      <c r="D33" s="21"/>
      <c r="E33" s="21"/>
      <c r="F33" s="21"/>
      <c r="G33" s="22"/>
      <c r="H33" s="22"/>
      <c r="I33" s="22"/>
      <c r="J33" s="22"/>
      <c r="K33" s="22"/>
      <c r="L33" s="24"/>
      <c r="M33" s="71">
        <f t="shared" si="2"/>
        <v>70000</v>
      </c>
      <c r="N33" s="50">
        <v>70000</v>
      </c>
      <c r="O33" s="56"/>
      <c r="P33" s="56"/>
      <c r="R33" s="50">
        <v>0</v>
      </c>
      <c r="S33" s="91">
        <f t="shared" si="1"/>
        <v>0</v>
      </c>
    </row>
    <row r="34" spans="1:19" ht="18.75">
      <c r="A34" s="38" t="s">
        <v>67</v>
      </c>
      <c r="B34" s="17" t="s">
        <v>38</v>
      </c>
      <c r="C34" s="18">
        <f>256.5+80.3</f>
        <v>336.8</v>
      </c>
      <c r="D34" s="18">
        <f>C34</f>
        <v>336.8</v>
      </c>
      <c r="E34" s="18">
        <f>74+23.5</f>
        <v>97.5</v>
      </c>
      <c r="F34" s="18">
        <f>D34-E34</f>
        <v>239.3</v>
      </c>
      <c r="G34" s="26">
        <f>1056.05-187.9-170</f>
        <v>698.15</v>
      </c>
      <c r="H34" s="26">
        <v>74.25</v>
      </c>
      <c r="I34" s="26">
        <v>239.3</v>
      </c>
      <c r="J34" s="26"/>
      <c r="K34" s="26" t="s">
        <v>29</v>
      </c>
      <c r="L34" s="26" t="s">
        <v>29</v>
      </c>
      <c r="M34" s="59">
        <f t="shared" si="2"/>
        <v>625900</v>
      </c>
      <c r="N34" s="48">
        <f>N35+N36+N37</f>
        <v>625900</v>
      </c>
      <c r="O34" s="56"/>
      <c r="P34" s="56"/>
      <c r="R34" s="48">
        <f>R35+R36+R37</f>
        <v>0</v>
      </c>
      <c r="S34" s="86">
        <f t="shared" si="1"/>
        <v>0</v>
      </c>
    </row>
    <row r="35" spans="1:19" ht="18.75">
      <c r="A35" s="51"/>
      <c r="B35" s="20" t="s">
        <v>39</v>
      </c>
      <c r="C35" s="21"/>
      <c r="D35" s="21"/>
      <c r="E35" s="21"/>
      <c r="F35" s="21"/>
      <c r="G35" s="22"/>
      <c r="H35" s="27"/>
      <c r="I35" s="27"/>
      <c r="J35" s="22"/>
      <c r="K35" s="22"/>
      <c r="L35" s="22"/>
      <c r="M35" s="71">
        <f t="shared" si="2"/>
        <v>268000</v>
      </c>
      <c r="N35" s="49">
        <v>268000</v>
      </c>
      <c r="O35" s="56"/>
      <c r="P35" s="56"/>
      <c r="R35" s="49">
        <v>0</v>
      </c>
      <c r="S35" s="91">
        <f t="shared" si="1"/>
        <v>0</v>
      </c>
    </row>
    <row r="36" spans="1:19" ht="18.75">
      <c r="A36" s="51"/>
      <c r="B36" s="20" t="s">
        <v>40</v>
      </c>
      <c r="C36" s="21"/>
      <c r="D36" s="21"/>
      <c r="E36" s="21"/>
      <c r="F36" s="21"/>
      <c r="G36" s="22"/>
      <c r="H36" s="27"/>
      <c r="I36" s="27"/>
      <c r="J36" s="22"/>
      <c r="K36" s="22"/>
      <c r="L36" s="22"/>
      <c r="M36" s="71">
        <f t="shared" si="2"/>
        <v>170000</v>
      </c>
      <c r="N36" s="49">
        <v>170000</v>
      </c>
      <c r="O36" s="56"/>
      <c r="P36" s="56"/>
      <c r="R36" s="49">
        <v>0</v>
      </c>
      <c r="S36" s="91">
        <f t="shared" si="1"/>
        <v>0</v>
      </c>
    </row>
    <row r="37" spans="1:19" ht="18.75">
      <c r="A37" s="51"/>
      <c r="B37" s="25" t="s">
        <v>41</v>
      </c>
      <c r="C37" s="21">
        <f>173.3</f>
        <v>173.3</v>
      </c>
      <c r="D37" s="21">
        <f>173.3</f>
        <v>173.3</v>
      </c>
      <c r="E37" s="21">
        <v>83.4</v>
      </c>
      <c r="F37" s="21">
        <f>D37-E37</f>
        <v>89.9</v>
      </c>
      <c r="G37" s="22">
        <f>666.764-14.616-20</f>
        <v>632.148</v>
      </c>
      <c r="H37" s="22">
        <v>166.1</v>
      </c>
      <c r="I37" s="22">
        <v>89.9</v>
      </c>
      <c r="J37" s="22"/>
      <c r="K37" s="22" t="s">
        <v>29</v>
      </c>
      <c r="L37" s="22" t="s">
        <v>29</v>
      </c>
      <c r="M37" s="71">
        <f t="shared" si="2"/>
        <v>187900</v>
      </c>
      <c r="N37" s="30">
        <v>187900</v>
      </c>
      <c r="O37" s="56"/>
      <c r="P37" s="56"/>
      <c r="R37" s="30">
        <v>0</v>
      </c>
      <c r="S37" s="91">
        <f t="shared" si="1"/>
        <v>0</v>
      </c>
    </row>
    <row r="38" spans="1:19" ht="17.25" customHeight="1">
      <c r="A38" s="38" t="s">
        <v>68</v>
      </c>
      <c r="B38" s="23" t="s">
        <v>42</v>
      </c>
      <c r="C38" s="18">
        <f>122.6+1881.1</f>
        <v>2003.6999999999998</v>
      </c>
      <c r="D38" s="18">
        <f>121.8+1840</f>
        <v>1961.8</v>
      </c>
      <c r="E38" s="18">
        <v>27.7</v>
      </c>
      <c r="F38" s="18">
        <f>D38-E38</f>
        <v>1934.1</v>
      </c>
      <c r="G38" s="19">
        <f>2239.093+25.0115+616.4775</f>
        <v>2880.582</v>
      </c>
      <c r="H38" s="19">
        <v>1332.8</v>
      </c>
      <c r="I38" s="18">
        <v>1934.1</v>
      </c>
      <c r="J38" s="19"/>
      <c r="K38" s="19" t="s">
        <v>29</v>
      </c>
      <c r="L38" s="19" t="s">
        <v>29</v>
      </c>
      <c r="M38" s="59">
        <f t="shared" si="2"/>
        <v>2123000</v>
      </c>
      <c r="N38" s="48">
        <f>N39+N40+N41</f>
        <v>2123000</v>
      </c>
      <c r="O38" s="56"/>
      <c r="P38" s="56"/>
      <c r="R38" s="48">
        <f>R39+R40+R41</f>
        <v>198689.03999999998</v>
      </c>
      <c r="S38" s="86">
        <f t="shared" si="1"/>
        <v>9.358880829015543</v>
      </c>
    </row>
    <row r="39" spans="1:19" ht="37.5">
      <c r="A39" s="51"/>
      <c r="B39" s="6" t="s">
        <v>2</v>
      </c>
      <c r="C39" s="21"/>
      <c r="D39" s="21"/>
      <c r="E39" s="21"/>
      <c r="F39" s="21"/>
      <c r="G39" s="22"/>
      <c r="H39" s="22"/>
      <c r="I39" s="21"/>
      <c r="J39" s="22"/>
      <c r="K39" s="22"/>
      <c r="L39" s="22"/>
      <c r="M39" s="71">
        <f t="shared" si="2"/>
        <v>1984500</v>
      </c>
      <c r="N39" s="49">
        <f>1984500</f>
        <v>1984500</v>
      </c>
      <c r="O39" s="56"/>
      <c r="P39" s="56"/>
      <c r="R39" s="49">
        <v>197840.3</v>
      </c>
      <c r="S39" s="92">
        <f t="shared" si="1"/>
        <v>9.969276895943562</v>
      </c>
    </row>
    <row r="40" spans="1:19" ht="18.75">
      <c r="A40" s="51"/>
      <c r="B40" s="20" t="s">
        <v>40</v>
      </c>
      <c r="C40" s="21"/>
      <c r="D40" s="21"/>
      <c r="E40" s="21"/>
      <c r="F40" s="21"/>
      <c r="G40" s="22"/>
      <c r="H40" s="22"/>
      <c r="I40" s="21"/>
      <c r="J40" s="22"/>
      <c r="K40" s="22"/>
      <c r="L40" s="22"/>
      <c r="M40" s="71">
        <f t="shared" si="2"/>
        <v>117815</v>
      </c>
      <c r="N40" s="49">
        <f>117815</f>
        <v>117815</v>
      </c>
      <c r="O40" s="56"/>
      <c r="P40" s="56"/>
      <c r="R40" s="49">
        <v>0</v>
      </c>
      <c r="S40" s="91">
        <f t="shared" si="1"/>
        <v>0</v>
      </c>
    </row>
    <row r="41" spans="1:19" ht="18.75">
      <c r="A41" s="51"/>
      <c r="B41" s="25" t="s">
        <v>41</v>
      </c>
      <c r="C41" s="21">
        <v>22463.7</v>
      </c>
      <c r="D41" s="21">
        <f>7156.8+15302.9</f>
        <v>22459.7</v>
      </c>
      <c r="E41" s="21">
        <f>1375.6+2420.3</f>
        <v>3795.9</v>
      </c>
      <c r="F41" s="21">
        <v>18663.8</v>
      </c>
      <c r="G41" s="22">
        <v>26758.69305</v>
      </c>
      <c r="H41" s="22" t="e">
        <f>#REF!+#REF!+#REF!+#REF!</f>
        <v>#REF!</v>
      </c>
      <c r="I41" s="22" t="e">
        <f>#REF!+#REF!+#REF!+#REF!</f>
        <v>#REF!</v>
      </c>
      <c r="J41" s="22"/>
      <c r="K41" s="22" t="s">
        <v>29</v>
      </c>
      <c r="L41" s="22" t="s">
        <v>29</v>
      </c>
      <c r="M41" s="71">
        <f t="shared" si="2"/>
        <v>20685</v>
      </c>
      <c r="N41" s="30">
        <v>20685</v>
      </c>
      <c r="O41" s="56"/>
      <c r="P41" s="56"/>
      <c r="R41" s="30">
        <v>848.74</v>
      </c>
      <c r="S41" s="91">
        <f t="shared" si="1"/>
        <v>4.10316654580614</v>
      </c>
    </row>
    <row r="42" spans="1:19" ht="18.75">
      <c r="A42" s="38" t="s">
        <v>69</v>
      </c>
      <c r="B42" s="28" t="s">
        <v>43</v>
      </c>
      <c r="C42" s="18"/>
      <c r="D42" s="18"/>
      <c r="E42" s="18"/>
      <c r="F42" s="18"/>
      <c r="G42" s="19"/>
      <c r="H42" s="19"/>
      <c r="I42" s="19"/>
      <c r="J42" s="19"/>
      <c r="K42" s="29"/>
      <c r="L42" s="29"/>
      <c r="M42" s="59">
        <f t="shared" si="2"/>
        <v>135989</v>
      </c>
      <c r="N42" s="52">
        <f>N43</f>
        <v>135989</v>
      </c>
      <c r="O42" s="56"/>
      <c r="P42" s="56"/>
      <c r="R42" s="52">
        <f>R43</f>
        <v>0</v>
      </c>
      <c r="S42" s="86">
        <f t="shared" si="1"/>
        <v>0</v>
      </c>
    </row>
    <row r="43" spans="1:19" ht="37.5">
      <c r="A43" s="51"/>
      <c r="B43" s="6" t="s">
        <v>44</v>
      </c>
      <c r="C43" s="21"/>
      <c r="D43" s="21"/>
      <c r="E43" s="21"/>
      <c r="F43" s="21"/>
      <c r="G43" s="22"/>
      <c r="H43" s="22"/>
      <c r="I43" s="22"/>
      <c r="J43" s="22"/>
      <c r="K43" s="24"/>
      <c r="L43" s="24"/>
      <c r="M43" s="71">
        <f t="shared" si="2"/>
        <v>135989</v>
      </c>
      <c r="N43" s="30">
        <f>135989</f>
        <v>135989</v>
      </c>
      <c r="O43" s="56"/>
      <c r="P43" s="56"/>
      <c r="R43" s="30">
        <v>0</v>
      </c>
      <c r="S43" s="92">
        <f t="shared" si="1"/>
        <v>0</v>
      </c>
    </row>
    <row r="44" spans="1:19" s="1" customFormat="1" ht="18.75">
      <c r="A44" s="38" t="s">
        <v>70</v>
      </c>
      <c r="B44" s="4" t="s">
        <v>3</v>
      </c>
      <c r="C44" s="21"/>
      <c r="D44" s="21"/>
      <c r="E44" s="21"/>
      <c r="F44" s="21"/>
      <c r="G44" s="22"/>
      <c r="H44" s="22"/>
      <c r="I44" s="22"/>
      <c r="J44" s="22"/>
      <c r="K44" s="24"/>
      <c r="L44" s="24"/>
      <c r="M44" s="59">
        <f t="shared" si="2"/>
        <v>5104000</v>
      </c>
      <c r="N44" s="52">
        <v>5104000</v>
      </c>
      <c r="O44" s="56"/>
      <c r="P44" s="58"/>
      <c r="R44" s="52">
        <f>307554.9+660163.29</f>
        <v>967718.1900000001</v>
      </c>
      <c r="S44" s="86">
        <f t="shared" si="1"/>
        <v>18.95999588557994</v>
      </c>
    </row>
    <row r="45" spans="1:19" s="1" customFormat="1" ht="18.75">
      <c r="A45" s="38" t="s">
        <v>71</v>
      </c>
      <c r="B45" s="23" t="s">
        <v>4</v>
      </c>
      <c r="C45" s="21"/>
      <c r="D45" s="21"/>
      <c r="E45" s="21"/>
      <c r="F45" s="21"/>
      <c r="G45" s="22"/>
      <c r="H45" s="22"/>
      <c r="I45" s="22"/>
      <c r="J45" s="22"/>
      <c r="K45" s="24"/>
      <c r="L45" s="24"/>
      <c r="M45" s="59">
        <f t="shared" si="2"/>
        <v>15542500</v>
      </c>
      <c r="N45" s="52">
        <v>15542500</v>
      </c>
      <c r="O45" s="56"/>
      <c r="P45" s="58"/>
      <c r="R45" s="52">
        <f>395040.22+212576.7+295465.16+636768.36+460772.48+515858.1</f>
        <v>2516481.02</v>
      </c>
      <c r="S45" s="86">
        <f t="shared" si="1"/>
        <v>16.190966832877592</v>
      </c>
    </row>
    <row r="46" spans="1:19" s="1" customFormat="1" ht="18.75">
      <c r="A46" s="38" t="s">
        <v>91</v>
      </c>
      <c r="B46" s="23" t="s">
        <v>92</v>
      </c>
      <c r="C46" s="21"/>
      <c r="D46" s="21"/>
      <c r="E46" s="21"/>
      <c r="F46" s="21"/>
      <c r="G46" s="22"/>
      <c r="H46" s="22"/>
      <c r="I46" s="22"/>
      <c r="J46" s="22"/>
      <c r="K46" s="24"/>
      <c r="L46" s="24"/>
      <c r="M46" s="59">
        <f t="shared" si="2"/>
        <v>257000</v>
      </c>
      <c r="N46" s="52">
        <v>257000</v>
      </c>
      <c r="O46" s="56"/>
      <c r="P46" s="58"/>
      <c r="R46" s="52">
        <v>0</v>
      </c>
      <c r="S46" s="86">
        <f t="shared" si="1"/>
        <v>0</v>
      </c>
    </row>
    <row r="47" spans="1:19" ht="18.75">
      <c r="A47" s="38" t="s">
        <v>72</v>
      </c>
      <c r="B47" s="23" t="s">
        <v>9</v>
      </c>
      <c r="C47" s="18">
        <f>20554.4+1254+42.4</f>
        <v>21850.800000000003</v>
      </c>
      <c r="D47" s="18">
        <f>20118.2+1254+42.4</f>
        <v>21414.600000000002</v>
      </c>
      <c r="E47" s="18">
        <f>166.5+18.4</f>
        <v>184.9</v>
      </c>
      <c r="F47" s="18">
        <f>19951.7+1254+24</f>
        <v>21229.7</v>
      </c>
      <c r="G47" s="31">
        <f>25447.6+198</f>
        <v>25645.6</v>
      </c>
      <c r="H47" s="31">
        <v>10120.4</v>
      </c>
      <c r="I47" s="18">
        <v>21229.7</v>
      </c>
      <c r="J47" s="31"/>
      <c r="K47" s="31"/>
      <c r="L47" s="31"/>
      <c r="M47" s="59">
        <f t="shared" si="2"/>
        <v>25052300</v>
      </c>
      <c r="N47" s="52">
        <f>N48+N49</f>
        <v>25052300</v>
      </c>
      <c r="O47" s="56"/>
      <c r="P47" s="56"/>
      <c r="R47" s="52">
        <f>R48+R49</f>
        <v>12649522.629999999</v>
      </c>
      <c r="S47" s="86">
        <f t="shared" si="1"/>
        <v>50.4924602930669</v>
      </c>
    </row>
    <row r="48" spans="1:19" ht="60.75" customHeight="1">
      <c r="A48" s="51"/>
      <c r="B48" s="34" t="s">
        <v>5</v>
      </c>
      <c r="C48" s="21"/>
      <c r="D48" s="21"/>
      <c r="E48" s="21"/>
      <c r="F48" s="21"/>
      <c r="G48" s="32"/>
      <c r="H48" s="32"/>
      <c r="I48" s="32"/>
      <c r="J48" s="7"/>
      <c r="K48" s="32"/>
      <c r="L48" s="33"/>
      <c r="M48" s="71">
        <f t="shared" si="2"/>
        <v>7232100</v>
      </c>
      <c r="N48" s="30">
        <v>7232100</v>
      </c>
      <c r="O48" s="56"/>
      <c r="P48" s="56"/>
      <c r="R48" s="30">
        <f>1341065</f>
        <v>1341065</v>
      </c>
      <c r="S48" s="92">
        <f t="shared" si="1"/>
        <v>18.543230873466904</v>
      </c>
    </row>
    <row r="49" spans="1:19" ht="115.5" customHeight="1">
      <c r="A49" s="51"/>
      <c r="B49" s="76" t="s">
        <v>6</v>
      </c>
      <c r="C49" s="21"/>
      <c r="D49" s="21"/>
      <c r="E49" s="21"/>
      <c r="F49" s="21"/>
      <c r="G49" s="32"/>
      <c r="H49" s="32"/>
      <c r="I49" s="32"/>
      <c r="J49" s="7"/>
      <c r="K49" s="32"/>
      <c r="L49" s="33"/>
      <c r="M49" s="71">
        <f t="shared" si="2"/>
        <v>17820200</v>
      </c>
      <c r="N49" s="30">
        <v>17820200</v>
      </c>
      <c r="O49" s="56"/>
      <c r="P49" s="56"/>
      <c r="R49" s="30">
        <f>485919.56+3050150.33+4015340.79+1228787.45+1461675.45+214759.4+851824.65</f>
        <v>11308457.629999999</v>
      </c>
      <c r="S49" s="92">
        <f t="shared" si="1"/>
        <v>63.458645974792645</v>
      </c>
    </row>
    <row r="50" spans="1:19" ht="18.75">
      <c r="A50" s="38" t="s">
        <v>73</v>
      </c>
      <c r="B50" s="36" t="s">
        <v>45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59">
        <f t="shared" si="2"/>
        <v>325000</v>
      </c>
      <c r="N50" s="54">
        <f>N52+N51</f>
        <v>325000</v>
      </c>
      <c r="O50" s="56"/>
      <c r="P50" s="56"/>
      <c r="R50" s="54">
        <f>R52+R51</f>
        <v>0</v>
      </c>
      <c r="S50" s="86">
        <f t="shared" si="1"/>
        <v>0</v>
      </c>
    </row>
    <row r="51" spans="1:19" ht="18.75">
      <c r="A51" s="51"/>
      <c r="B51" s="20" t="s">
        <v>7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71">
        <f t="shared" si="2"/>
        <v>225000</v>
      </c>
      <c r="N51" s="53">
        <v>225000</v>
      </c>
      <c r="O51" s="56"/>
      <c r="P51" s="56"/>
      <c r="R51" s="53">
        <v>0</v>
      </c>
      <c r="S51" s="86">
        <f t="shared" si="1"/>
        <v>0</v>
      </c>
    </row>
    <row r="52" spans="1:19" ht="18.75">
      <c r="A52" s="51"/>
      <c r="B52" s="20" t="s">
        <v>46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71">
        <f t="shared" si="2"/>
        <v>100000</v>
      </c>
      <c r="N52" s="53">
        <v>100000</v>
      </c>
      <c r="O52" s="56"/>
      <c r="P52" s="56"/>
      <c r="R52" s="53">
        <v>0</v>
      </c>
      <c r="S52" s="86">
        <f t="shared" si="1"/>
        <v>0</v>
      </c>
    </row>
    <row r="53" spans="1:19" ht="18.75">
      <c r="A53" s="38" t="s">
        <v>74</v>
      </c>
      <c r="B53" s="17" t="s">
        <v>8</v>
      </c>
      <c r="C53" s="18">
        <f>31.3+21.5</f>
        <v>52.8</v>
      </c>
      <c r="D53" s="18">
        <f>C53</f>
        <v>52.8</v>
      </c>
      <c r="E53" s="18">
        <v>0</v>
      </c>
      <c r="F53" s="18">
        <f>D53</f>
        <v>52.8</v>
      </c>
      <c r="G53" s="19">
        <v>100</v>
      </c>
      <c r="H53" s="19">
        <v>0</v>
      </c>
      <c r="I53" s="19">
        <v>52.8</v>
      </c>
      <c r="J53" s="19" t="s">
        <v>29</v>
      </c>
      <c r="K53" s="19" t="s">
        <v>29</v>
      </c>
      <c r="L53" s="19" t="s">
        <v>29</v>
      </c>
      <c r="M53" s="59">
        <f t="shared" si="2"/>
        <v>821358.2</v>
      </c>
      <c r="N53" s="48">
        <v>821358.2</v>
      </c>
      <c r="O53" s="56"/>
      <c r="P53" s="56"/>
      <c r="R53" s="48">
        <f>57313.38+61144.73+58977.29</f>
        <v>177435.4</v>
      </c>
      <c r="S53" s="86">
        <f t="shared" si="1"/>
        <v>21.602681996722016</v>
      </c>
    </row>
    <row r="54" spans="1:19" ht="18.75">
      <c r="A54" s="38" t="s">
        <v>75</v>
      </c>
      <c r="B54" s="17" t="s">
        <v>47</v>
      </c>
      <c r="C54" s="18" t="e">
        <f>#REF!+#REF!</f>
        <v>#REF!</v>
      </c>
      <c r="D54" s="18" t="e">
        <f>#REF!+#REF!</f>
        <v>#REF!</v>
      </c>
      <c r="E54" s="18" t="e">
        <f>#REF!+#REF!</f>
        <v>#REF!</v>
      </c>
      <c r="F54" s="18" t="e">
        <f>#REF!+#REF!</f>
        <v>#REF!</v>
      </c>
      <c r="G54" s="19" t="e">
        <f>#REF!+#REF!</f>
        <v>#REF!</v>
      </c>
      <c r="H54" s="19"/>
      <c r="I54" s="19">
        <v>3916.0000000000005</v>
      </c>
      <c r="J54" s="19"/>
      <c r="K54" s="19"/>
      <c r="L54" s="19"/>
      <c r="M54" s="59">
        <f t="shared" si="2"/>
        <v>59112.8</v>
      </c>
      <c r="N54" s="48">
        <f>59136-23.2</f>
        <v>59112.8</v>
      </c>
      <c r="O54" s="56"/>
      <c r="P54" s="56"/>
      <c r="R54" s="48">
        <v>15318.9</v>
      </c>
      <c r="S54" s="86">
        <f t="shared" si="1"/>
        <v>25.91469191105818</v>
      </c>
    </row>
    <row r="55" spans="1:19" ht="37.5">
      <c r="A55" s="38" t="s">
        <v>76</v>
      </c>
      <c r="B55" s="87" t="s">
        <v>85</v>
      </c>
      <c r="C55" s="18"/>
      <c r="D55" s="18"/>
      <c r="E55" s="18"/>
      <c r="F55" s="18"/>
      <c r="G55" s="19"/>
      <c r="H55" s="19"/>
      <c r="I55" s="19"/>
      <c r="J55" s="19"/>
      <c r="K55" s="19"/>
      <c r="L55" s="19"/>
      <c r="M55" s="59">
        <f t="shared" si="2"/>
        <v>5475807.68</v>
      </c>
      <c r="N55" s="48">
        <v>5475807.68</v>
      </c>
      <c r="O55" s="56"/>
      <c r="P55" s="61"/>
      <c r="R55" s="53">
        <v>5475807.68</v>
      </c>
      <c r="S55" s="91">
        <f t="shared" si="1"/>
        <v>100</v>
      </c>
    </row>
    <row r="56" spans="1:19" ht="37.5">
      <c r="A56" s="38" t="s">
        <v>93</v>
      </c>
      <c r="B56" s="87" t="s">
        <v>94</v>
      </c>
      <c r="C56" s="18"/>
      <c r="D56" s="18"/>
      <c r="E56" s="18"/>
      <c r="F56" s="18"/>
      <c r="G56" s="19"/>
      <c r="H56" s="19"/>
      <c r="I56" s="19"/>
      <c r="J56" s="19"/>
      <c r="K56" s="19"/>
      <c r="L56" s="19"/>
      <c r="M56" s="59">
        <f t="shared" si="2"/>
        <v>550000</v>
      </c>
      <c r="N56" s="48">
        <v>550000</v>
      </c>
      <c r="O56" s="56"/>
      <c r="P56" s="61"/>
      <c r="R56" s="53">
        <v>0</v>
      </c>
      <c r="S56" s="91">
        <f t="shared" si="1"/>
        <v>0</v>
      </c>
    </row>
    <row r="57" spans="1:19" ht="37.5">
      <c r="A57" s="38" t="s">
        <v>95</v>
      </c>
      <c r="B57" s="17" t="s">
        <v>100</v>
      </c>
      <c r="C57" s="18"/>
      <c r="D57" s="18"/>
      <c r="E57" s="18"/>
      <c r="F57" s="18"/>
      <c r="G57" s="19"/>
      <c r="H57" s="19"/>
      <c r="I57" s="19"/>
      <c r="J57" s="19"/>
      <c r="K57" s="19"/>
      <c r="L57" s="19"/>
      <c r="M57" s="59">
        <f>N57+O57</f>
        <v>10000000</v>
      </c>
      <c r="N57" s="48">
        <f>N58+N59+N60</f>
        <v>10000000</v>
      </c>
      <c r="O57" s="68"/>
      <c r="P57" s="69"/>
      <c r="R57" s="95">
        <v>0</v>
      </c>
      <c r="S57" s="96">
        <f t="shared" si="1"/>
        <v>0</v>
      </c>
    </row>
    <row r="58" spans="1:19" ht="18.75">
      <c r="A58" s="38"/>
      <c r="B58" s="20" t="s">
        <v>96</v>
      </c>
      <c r="C58" s="18"/>
      <c r="D58" s="18"/>
      <c r="E58" s="18"/>
      <c r="F58" s="18"/>
      <c r="G58" s="19"/>
      <c r="H58" s="19"/>
      <c r="I58" s="19"/>
      <c r="J58" s="19"/>
      <c r="K58" s="19"/>
      <c r="L58" s="19"/>
      <c r="M58" s="71">
        <f>N58+O58</f>
        <v>1500000</v>
      </c>
      <c r="N58" s="89">
        <v>1500000</v>
      </c>
      <c r="O58" s="68"/>
      <c r="P58" s="69"/>
      <c r="R58" s="53">
        <v>0</v>
      </c>
      <c r="S58" s="91">
        <f t="shared" si="1"/>
        <v>0</v>
      </c>
    </row>
    <row r="59" spans="1:19" ht="18.75">
      <c r="A59" s="38"/>
      <c r="B59" s="20" t="s">
        <v>97</v>
      </c>
      <c r="C59" s="18"/>
      <c r="D59" s="18"/>
      <c r="E59" s="18"/>
      <c r="F59" s="18"/>
      <c r="G59" s="19"/>
      <c r="H59" s="19"/>
      <c r="I59" s="19"/>
      <c r="J59" s="19"/>
      <c r="K59" s="19"/>
      <c r="L59" s="19"/>
      <c r="M59" s="71">
        <f>N59+O59</f>
        <v>5000000</v>
      </c>
      <c r="N59" s="89">
        <v>5000000</v>
      </c>
      <c r="O59" s="68"/>
      <c r="P59" s="69"/>
      <c r="R59" s="53">
        <v>0</v>
      </c>
      <c r="S59" s="91">
        <f t="shared" si="1"/>
        <v>0</v>
      </c>
    </row>
    <row r="60" spans="1:19" ht="18.75">
      <c r="A60" s="38"/>
      <c r="B60" s="20" t="s">
        <v>98</v>
      </c>
      <c r="C60" s="18"/>
      <c r="D60" s="18"/>
      <c r="E60" s="18"/>
      <c r="F60" s="18"/>
      <c r="G60" s="19"/>
      <c r="H60" s="19"/>
      <c r="I60" s="19"/>
      <c r="J60" s="19"/>
      <c r="K60" s="19"/>
      <c r="L60" s="19"/>
      <c r="M60" s="71">
        <f>N60+O60</f>
        <v>3500000</v>
      </c>
      <c r="N60" s="89">
        <v>3500000</v>
      </c>
      <c r="O60" s="68"/>
      <c r="P60" s="69"/>
      <c r="R60" s="53">
        <v>0</v>
      </c>
      <c r="S60" s="91">
        <f t="shared" si="1"/>
        <v>0</v>
      </c>
    </row>
    <row r="61" spans="1:19" ht="18.75">
      <c r="A61" s="39"/>
      <c r="B61" s="40" t="s">
        <v>50</v>
      </c>
      <c r="C61" s="39"/>
      <c r="D61" s="39"/>
      <c r="E61" s="39"/>
      <c r="F61" s="39"/>
      <c r="G61" s="73"/>
      <c r="H61" s="73"/>
      <c r="I61" s="73"/>
      <c r="J61" s="73"/>
      <c r="K61" s="73"/>
      <c r="L61" s="73"/>
      <c r="M61" s="60">
        <f>M7+M19+M21+M23</f>
        <v>107023482.68</v>
      </c>
      <c r="N61" s="60">
        <f>N7+N19+N21+N23</f>
        <v>79526207.68</v>
      </c>
      <c r="O61" s="60">
        <f>O7+O19+O21+O23</f>
        <v>27497275</v>
      </c>
      <c r="P61" s="60">
        <f>P7+P19+P21+P23</f>
        <v>27497275</v>
      </c>
      <c r="R61" s="81">
        <f>R19+R21+R23</f>
        <v>24978581.659999996</v>
      </c>
      <c r="S61" s="85">
        <f t="shared" si="1"/>
        <v>23.339346687760017</v>
      </c>
    </row>
    <row r="62" spans="2:15" ht="12.75" hidden="1">
      <c r="B62">
        <v>2240</v>
      </c>
      <c r="M62" s="41">
        <f>M22+M25+M28+M35+M44+M45+M47+M54</f>
        <v>55439052.8</v>
      </c>
      <c r="O62" s="56"/>
    </row>
    <row r="63" spans="2:15" ht="12.75" hidden="1">
      <c r="B63">
        <v>2272</v>
      </c>
      <c r="M63" s="41">
        <f>M36+M40+M51</f>
        <v>512815</v>
      </c>
      <c r="O63" s="56"/>
    </row>
    <row r="64" spans="2:15" ht="12.75" hidden="1">
      <c r="B64">
        <v>2273</v>
      </c>
      <c r="M64" s="41">
        <f>M26+M37+M41+M53+M52</f>
        <v>4830643.2</v>
      </c>
      <c r="O64" s="56"/>
    </row>
    <row r="65" spans="2:15" ht="12.75" hidden="1">
      <c r="B65">
        <v>2610</v>
      </c>
      <c r="M65" s="41">
        <f>M27+M39+M43</f>
        <v>2460889</v>
      </c>
      <c r="O65" s="56"/>
    </row>
    <row r="66" spans="13:15" ht="12.75" hidden="1">
      <c r="M66" s="41">
        <f>M62+M63+M64+M65</f>
        <v>63243400</v>
      </c>
      <c r="O66" s="56"/>
    </row>
    <row r="69" spans="2:13" ht="18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2016-03-30T12:01:48Z</cp:lastPrinted>
  <dcterms:created xsi:type="dcterms:W3CDTF">2014-01-17T10:52:16Z</dcterms:created>
  <dcterms:modified xsi:type="dcterms:W3CDTF">2016-04-01T12:04:11Z</dcterms:modified>
  <cp:category/>
  <cp:version/>
  <cp:contentType/>
  <cp:contentStatus/>
</cp:coreProperties>
</file>